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7050" windowHeight="11640" activeTab="0"/>
  </bookViews>
  <sheets>
    <sheet name="NNE_SWT" sheetId="1" r:id="rId1"/>
    <sheet name="SLP" sheetId="2" state="hidden" r:id="rId2"/>
    <sheet name="RLM" sheetId="3" state="hidden" r:id="rId3"/>
  </sheets>
  <definedNames>
    <definedName name="_xlnm.Print_Area" localSheetId="2">'RLM'!$A$1:$I$45</definedName>
  </definedNames>
  <calcPr fullCalcOnLoad="1"/>
</workbook>
</file>

<file path=xl/comments1.xml><?xml version="1.0" encoding="utf-8"?>
<comments xmlns="http://schemas.openxmlformats.org/spreadsheetml/2006/main">
  <authors>
    <author>thomash</author>
  </authors>
  <commentList>
    <comment ref="A1" authorId="0">
      <text>
        <r>
          <rPr>
            <b/>
            <sz val="8"/>
            <rFont val="Tahoma"/>
            <family val="2"/>
          </rPr>
          <t>inkl. vorgelagertes Netz</t>
        </r>
      </text>
    </comment>
  </commentList>
</comments>
</file>

<file path=xl/sharedStrings.xml><?xml version="1.0" encoding="utf-8"?>
<sst xmlns="http://schemas.openxmlformats.org/spreadsheetml/2006/main" count="117" uniqueCount="50">
  <si>
    <t>kWh</t>
  </si>
  <si>
    <t>EUR</t>
  </si>
  <si>
    <t>Summe</t>
  </si>
  <si>
    <t>Temp</t>
  </si>
  <si>
    <t>kW</t>
  </si>
  <si>
    <t>ct/kWh</t>
  </si>
  <si>
    <t>€/a</t>
  </si>
  <si>
    <t>Leistungspreis</t>
  </si>
  <si>
    <t>RLM</t>
  </si>
  <si>
    <t>Jahresarbeit</t>
  </si>
  <si>
    <t>max. Leistung</t>
  </si>
  <si>
    <t>Kundengruppe</t>
  </si>
  <si>
    <t>€/kW</t>
  </si>
  <si>
    <t>AP=</t>
  </si>
  <si>
    <t>LP=</t>
  </si>
  <si>
    <t>Summe=</t>
  </si>
  <si>
    <t>Messung</t>
  </si>
  <si>
    <t>1.1 Netzentgelte für Entnahmen ohne Leistungsmessung</t>
  </si>
  <si>
    <t>Arbeitspreis</t>
  </si>
  <si>
    <t>Zone</t>
  </si>
  <si>
    <t>von</t>
  </si>
  <si>
    <t>bis</t>
  </si>
  <si>
    <t>JA</t>
  </si>
  <si>
    <t>1.2.1 Leistungspreis für Entnahmen mit Leistungsmessung</t>
  </si>
  <si>
    <t>Jahreshöchstleistung</t>
  </si>
  <si>
    <t>LV</t>
  </si>
  <si>
    <t>1.2.2 Arbeitspreis für Entnahmen mit Leistungsmessung</t>
  </si>
  <si>
    <t>LA</t>
  </si>
  <si>
    <t>Kundenangaben</t>
  </si>
  <si>
    <t xml:space="preserve">Mengenumwerter (MEUW) </t>
  </si>
  <si>
    <t>Fernauslesung/Modem</t>
  </si>
  <si>
    <t>G 2,5 - G 6</t>
  </si>
  <si>
    <t>G 10 - G 25</t>
  </si>
  <si>
    <t>G 40 - G 100</t>
  </si>
  <si>
    <t>größer G 100</t>
  </si>
  <si>
    <t>SLP</t>
  </si>
  <si>
    <t>Mengenumwerter</t>
  </si>
  <si>
    <t>Abrechnungsintervall</t>
  </si>
  <si>
    <t>Zwischen-Summe</t>
  </si>
  <si>
    <t>Messstellenbetrieb</t>
  </si>
  <si>
    <t>Messdienstleistung</t>
  </si>
  <si>
    <t>Netzentgeltrechner Gas</t>
  </si>
  <si>
    <t>AP</t>
  </si>
  <si>
    <t>GP</t>
  </si>
  <si>
    <t>Jahresmenge</t>
  </si>
  <si>
    <t>Netzentgelt</t>
  </si>
  <si>
    <t>AP =</t>
  </si>
  <si>
    <t>LP =</t>
  </si>
  <si>
    <t>gößer 1,5 Mio. kWh</t>
  </si>
  <si>
    <t>Preisstand: 01.01.2022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</si>
</sst>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_-* #,##0.0\ _€_-;\-* #,##0.0\ _€_-;_-* &quot;-&quot;??\ _€_-;_-@_-"/>
    <numFmt numFmtId="168" formatCode="_-* #,##0\ _€_-;\-* #,##0\ _€_-;_-* &quot;-&quot;??\ _€_-;_-@_-"/>
    <numFmt numFmtId="169" formatCode="0.000"/>
    <numFmt numFmtId="170" formatCode="_-* #,##0.000\ _€_-;\-* #,##0.000\ _€_-;_-* &quot;-&quot;??\ _€_-;_-@_-"/>
    <numFmt numFmtId="171" formatCode="0.0000000"/>
    <numFmt numFmtId="172" formatCode="0.000000"/>
    <numFmt numFmtId="173" formatCode="0.00000"/>
    <numFmt numFmtId="174" formatCode="0.0000"/>
    <numFmt numFmtId="175" formatCode="_-* #,##0.0000\ _€_-;\-* #,##0.0000\ _€_-;_-* &quot;-&quot;??\ _€_-;_-@_-"/>
    <numFmt numFmtId="176" formatCode="0.00000000"/>
    <numFmt numFmtId="177" formatCode="0.0000\ &quot;Ct/kWh&quot;"/>
    <numFmt numFmtId="178" formatCode="0.0%"/>
    <numFmt numFmtId="179" formatCode="#,##0.0000"/>
    <numFmt numFmtId="180" formatCode="0.0"/>
    <numFmt numFmtId="181" formatCode="0.0000000000"/>
    <numFmt numFmtId="182" formatCode="#,##0.0"/>
    <numFmt numFmtId="183" formatCode="#,##0.000"/>
    <numFmt numFmtId="184" formatCode="#,##0.00000"/>
    <numFmt numFmtId="185" formatCode="0.00\ &quot;Cent/kWh/Mon&quot;"/>
    <numFmt numFmtId="186" formatCode="#,##0.00\ &quot;€/kWh/tg&quot;"/>
    <numFmt numFmtId="187" formatCode="#,##0.00\ &quot;€/kWh/h&quot;"/>
    <numFmt numFmtId="188" formatCode="#,##0.00\ &quot;Cent/kWh&quot;"/>
    <numFmt numFmtId="189" formatCode="[$-407]dddd\,\ d\.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(* #,##0.0_);_(* \(#,##0.0\);_(* &quot;-&quot;??_);_(@_)"/>
    <numFmt numFmtId="199" formatCode="_(* #,##0.000_);_(* \(#,##0.000\);_(* &quot;-&quot;??_);_(@_)"/>
    <numFmt numFmtId="200" formatCode="0.000%"/>
    <numFmt numFmtId="201" formatCode="_-* #,##0.000\ _€_-;\-* #,##0.000\ _€_-;_-* &quot;-&quot;???\ _€_-;_-@_-"/>
    <numFmt numFmtId="202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83" fontId="0" fillId="0" borderId="10" xfId="42" applyNumberFormat="1" applyBorder="1" applyAlignment="1">
      <alignment/>
    </xf>
    <xf numFmtId="183" fontId="0" fillId="34" borderId="10" xfId="42" applyNumberFormat="1" applyFill="1" applyBorder="1" applyAlignment="1">
      <alignment/>
    </xf>
    <xf numFmtId="197" fontId="0" fillId="0" borderId="0" xfId="42" applyAlignment="1">
      <alignment/>
    </xf>
    <xf numFmtId="197" fontId="0" fillId="34" borderId="10" xfId="42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3" fontId="0" fillId="34" borderId="13" xfId="0" applyNumberForma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97" fontId="0" fillId="34" borderId="13" xfId="0" applyNumberFormat="1" applyFill="1" applyBorder="1" applyAlignment="1">
      <alignment/>
    </xf>
    <xf numFmtId="165" fontId="2" fillId="34" borderId="14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12" xfId="47" applyFont="1" applyBorder="1" applyAlignment="1">
      <alignment/>
    </xf>
    <xf numFmtId="0" fontId="2" fillId="0" borderId="15" xfId="52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7" fontId="0" fillId="0" borderId="10" xfId="42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2" fillId="0" borderId="15" xfId="52" applyNumberFormat="1" applyFont="1" applyBorder="1">
      <alignment/>
      <protection/>
    </xf>
    <xf numFmtId="4" fontId="0" fillId="0" borderId="10" xfId="42" applyNumberFormat="1" applyBorder="1" applyAlignment="1">
      <alignment/>
    </xf>
    <xf numFmtId="4" fontId="0" fillId="0" borderId="0" xfId="0" applyNumberFormat="1" applyAlignment="1">
      <alignment/>
    </xf>
    <xf numFmtId="198" fontId="0" fillId="34" borderId="14" xfId="42" applyNumberFormat="1" applyFill="1" applyBorder="1" applyAlignment="1">
      <alignment/>
    </xf>
    <xf numFmtId="202" fontId="0" fillId="34" borderId="14" xfId="42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9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10" xfId="42" applyNumberFormat="1" applyBorder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Gas_Netzentgelterechner_SWT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Gas_Netzentgelterechner_SW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142875</xdr:rowOff>
    </xdr:from>
    <xdr:to>
      <xdr:col>1</xdr:col>
      <xdr:colOff>1057275</xdr:colOff>
      <xdr:row>10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0972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1047750</xdr:colOff>
      <xdr:row>14</xdr:row>
      <xdr:rowOff>38100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2764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114300</xdr:rowOff>
    </xdr:from>
    <xdr:to>
      <xdr:col>1</xdr:col>
      <xdr:colOff>1114425</xdr:colOff>
      <xdr:row>12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9050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123825</xdr:rowOff>
    </xdr:from>
    <xdr:to>
      <xdr:col>1</xdr:col>
      <xdr:colOff>1114425</xdr:colOff>
      <xdr:row>16</xdr:row>
      <xdr:rowOff>57150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622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3</xdr:col>
      <xdr:colOff>752475</xdr:colOff>
      <xdr:row>1</xdr:row>
      <xdr:rowOff>95250</xdr:rowOff>
    </xdr:to>
    <xdr:pic>
      <xdr:nvPicPr>
        <xdr:cNvPr id="5" name="Picture 7" descr="swt-Logo 2006-geringe Auflösu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39"/>
  <sheetViews>
    <sheetView tabSelected="1" zoomScalePageLayoutView="0" workbookViewId="0" topLeftCell="A1">
      <selection activeCell="B23" sqref="B23"/>
    </sheetView>
  </sheetViews>
  <sheetFormatPr defaultColWidth="0" defaultRowHeight="12.75" zeroHeight="1"/>
  <cols>
    <col min="1" max="1" width="18.421875" style="0" customWidth="1"/>
    <col min="2" max="2" width="17.57421875" style="0" bestFit="1" customWidth="1"/>
    <col min="3" max="4" width="11.421875" style="0" customWidth="1"/>
    <col min="5" max="16384" width="0" style="0" hidden="1" customWidth="1"/>
  </cols>
  <sheetData>
    <row r="1" spans="1:4" ht="23.25">
      <c r="A1" s="50" t="s">
        <v>41</v>
      </c>
      <c r="B1" s="50"/>
      <c r="C1" s="50"/>
      <c r="D1" s="50"/>
    </row>
    <row r="2" spans="1:4" s="40" customFormat="1" ht="12.75">
      <c r="A2" s="39" t="s">
        <v>49</v>
      </c>
      <c r="B2" s="39"/>
      <c r="C2" s="39"/>
      <c r="D2" s="39"/>
    </row>
    <row r="3" spans="1:4" s="40" customFormat="1" ht="12.75">
      <c r="A3" s="39"/>
      <c r="B3" s="39"/>
      <c r="C3" s="39"/>
      <c r="D3" s="39"/>
    </row>
    <row r="4" spans="1:6" ht="12.75">
      <c r="A4" t="s">
        <v>28</v>
      </c>
      <c r="F4" s="7"/>
    </row>
    <row r="5" ht="13.5" thickBot="1"/>
    <row r="6" spans="1:3" ht="13.5" thickBot="1">
      <c r="A6" s="41" t="s">
        <v>44</v>
      </c>
      <c r="B6" s="37">
        <v>20695037</v>
      </c>
      <c r="C6" t="s">
        <v>0</v>
      </c>
    </row>
    <row r="7" ht="13.5" thickBot="1"/>
    <row r="8" spans="1:3" ht="13.5" thickBot="1">
      <c r="A8" t="s">
        <v>10</v>
      </c>
      <c r="B8" s="36">
        <v>22547</v>
      </c>
      <c r="C8" t="s">
        <v>4</v>
      </c>
    </row>
    <row r="9" ht="12.75"/>
    <row r="10" spans="1:6" ht="12.75">
      <c r="A10" t="s">
        <v>11</v>
      </c>
      <c r="B10" t="s">
        <v>8</v>
      </c>
      <c r="F10" s="7" t="s">
        <v>8</v>
      </c>
    </row>
    <row r="11" ht="12.75">
      <c r="F11" s="7" t="s">
        <v>35</v>
      </c>
    </row>
    <row r="12" spans="1:2" ht="12.75">
      <c r="A12" t="s">
        <v>36</v>
      </c>
      <c r="B12" t="b">
        <v>1</v>
      </c>
    </row>
    <row r="13" ht="12.75"/>
    <row r="14" spans="1:2" ht="12.75">
      <c r="A14" t="s">
        <v>16</v>
      </c>
      <c r="B14" t="s">
        <v>33</v>
      </c>
    </row>
    <row r="15" ht="12.75"/>
    <row r="16" spans="1:2" ht="12.75">
      <c r="A16" t="s">
        <v>37</v>
      </c>
      <c r="B16" t="b">
        <v>1</v>
      </c>
    </row>
    <row r="17" ht="12.75"/>
    <row r="18" ht="12.75"/>
    <row r="19" ht="12.75">
      <c r="A19" s="41" t="s">
        <v>45</v>
      </c>
    </row>
    <row r="20" spans="2:4" ht="12.75">
      <c r="B20" s="8" t="s">
        <v>1</v>
      </c>
      <c r="C20" s="8" t="s">
        <v>5</v>
      </c>
      <c r="D20" s="8" t="s">
        <v>12</v>
      </c>
    </row>
    <row r="21" spans="1:4" ht="12.75">
      <c r="A21" s="9" t="s">
        <v>13</v>
      </c>
      <c r="B21" s="34">
        <f>IF(B10="SLP",SLP!H12,IF(B10="RLM",RLM!G35,0))</f>
        <v>52758.26512</v>
      </c>
      <c r="C21" s="3">
        <f>IF(B10="SLP",SLP!H13,IF(B10="RLM",RLM!G36,0))</f>
        <v>0.2549319680849085</v>
      </c>
      <c r="D21" s="2"/>
    </row>
    <row r="22" spans="1:4" ht="12.75">
      <c r="A22" s="9" t="s">
        <v>14</v>
      </c>
      <c r="B22" s="34">
        <f>IF(B10="SLP",0,IF(B10="RLM",RLM!G17,0))</f>
        <v>201275.2</v>
      </c>
      <c r="C22" s="3">
        <f>IF(B10="SLP",0,IF(B10="RLM",RLM!G18,0))</f>
        <v>0.9725771449454282</v>
      </c>
      <c r="D22" s="34">
        <f>B22/B8</f>
        <v>8.926917106488668</v>
      </c>
    </row>
    <row r="23" spans="1:4" ht="12.75">
      <c r="A23" s="9" t="s">
        <v>15</v>
      </c>
      <c r="B23" s="34">
        <f>SUM(B21:B22)</f>
        <v>254033.46512</v>
      </c>
      <c r="C23" s="49">
        <f>SUM(C21:C22)</f>
        <v>1.2275091130303366</v>
      </c>
      <c r="D23" s="2"/>
    </row>
    <row r="24" ht="12.75"/>
    <row r="25" ht="12.75"/>
    <row r="26" spans="1:4" ht="12.75">
      <c r="A26" t="s">
        <v>39</v>
      </c>
      <c r="B26" t="s">
        <v>31</v>
      </c>
      <c r="C26" s="35">
        <f>IF(B$14=B26,15.09,0)</f>
        <v>0</v>
      </c>
      <c r="D26" t="s">
        <v>6</v>
      </c>
    </row>
    <row r="27" spans="2:4" ht="12.75">
      <c r="B27" t="s">
        <v>32</v>
      </c>
      <c r="C27" s="35">
        <f>IF(B$14=B27,34.44,0)</f>
        <v>0</v>
      </c>
      <c r="D27" t="s">
        <v>6</v>
      </c>
    </row>
    <row r="28" spans="2:4" ht="12.75">
      <c r="B28" t="s">
        <v>33</v>
      </c>
      <c r="C28" s="35">
        <f>IF(B$14=B28,196.32,0)</f>
        <v>196.32</v>
      </c>
      <c r="D28" t="s">
        <v>6</v>
      </c>
    </row>
    <row r="29" spans="1:4" ht="12.75">
      <c r="A29" s="29"/>
      <c r="B29" s="29" t="s">
        <v>34</v>
      </c>
      <c r="C29" s="38">
        <f>IF(B$14=B29,753.76,0)</f>
        <v>0</v>
      </c>
      <c r="D29" s="29" t="s">
        <v>6</v>
      </c>
    </row>
    <row r="30" spans="1:4" ht="12.75">
      <c r="A30" t="s">
        <v>40</v>
      </c>
      <c r="B30" t="s">
        <v>31</v>
      </c>
      <c r="C30" s="35">
        <f>IF(B30=B14,IF(B10="RLM",242,5.2),0)</f>
        <v>0</v>
      </c>
      <c r="D30" t="s">
        <v>6</v>
      </c>
    </row>
    <row r="31" spans="2:4" ht="12.75">
      <c r="B31" t="s">
        <v>32</v>
      </c>
      <c r="C31" s="35">
        <f>IF(B31=B14,IF(B10="RLM",242,5.2),0)</f>
        <v>0</v>
      </c>
      <c r="D31" t="s">
        <v>6</v>
      </c>
    </row>
    <row r="32" spans="2:4" ht="12.75">
      <c r="B32" t="s">
        <v>33</v>
      </c>
      <c r="C32" s="35">
        <f>IF(B32=B14,IF(B10="RLM",242,5.2),0)</f>
        <v>242</v>
      </c>
      <c r="D32" t="s">
        <v>6</v>
      </c>
    </row>
    <row r="33" spans="1:4" ht="12.75">
      <c r="A33" s="29"/>
      <c r="B33" s="29" t="s">
        <v>34</v>
      </c>
      <c r="C33" s="38">
        <f>IF(B33=B14,IF(B10="RLM",242,5.2),0)</f>
        <v>0</v>
      </c>
      <c r="D33" s="29" t="s">
        <v>6</v>
      </c>
    </row>
    <row r="34" spans="1:4" ht="12.75">
      <c r="A34" t="s">
        <v>29</v>
      </c>
      <c r="C34" s="35">
        <f>IF(B10="RLM",IF(B12=TRUE,793.25,331.21),0)</f>
        <v>793.25</v>
      </c>
      <c r="D34" t="s">
        <v>6</v>
      </c>
    </row>
    <row r="35" spans="1:4" ht="12.75">
      <c r="A35" s="29" t="s">
        <v>30</v>
      </c>
      <c r="B35" s="29"/>
      <c r="C35" s="38">
        <f>IF(B10="RLM",289.17,0)</f>
        <v>289.17</v>
      </c>
      <c r="D35" s="29" t="s">
        <v>6</v>
      </c>
    </row>
    <row r="36" ht="12.75"/>
    <row r="37" spans="1:3" ht="12.75">
      <c r="A37" t="s">
        <v>38</v>
      </c>
      <c r="C37" s="35">
        <f>SUM(C26:C35)</f>
        <v>1520.74</v>
      </c>
    </row>
    <row r="38" ht="12.75"/>
    <row r="39" spans="1:4" ht="13.5" thickBot="1">
      <c r="A39" s="27" t="s">
        <v>2</v>
      </c>
      <c r="B39" s="28"/>
      <c r="C39" s="33">
        <f>C37+B23</f>
        <v>255554.20512</v>
      </c>
      <c r="D39" s="27" t="s">
        <v>1</v>
      </c>
    </row>
    <row r="40" ht="13.5" thickTop="1"/>
    <row r="41" ht="12.75"/>
    <row r="42" ht="12.75"/>
    <row r="43" ht="12.75"/>
    <row r="44" ht="12.75"/>
    <row r="45" ht="12.75"/>
  </sheetData>
  <sheetProtection/>
  <protectedRanges>
    <protectedRange sqref="B10" name="Bereich2"/>
    <protectedRange sqref="B6 B8 B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2" width="4.28125" style="0" customWidth="1"/>
    <col min="7" max="7" width="14.421875" style="0" bestFit="1" customWidth="1"/>
    <col min="8" max="8" width="13.28125" style="0" bestFit="1" customWidth="1"/>
    <col min="9" max="9" width="4.7109375" style="0" customWidth="1"/>
    <col min="10" max="10" width="5.7109375" style="0" customWidth="1"/>
  </cols>
  <sheetData>
    <row r="1" ht="12.75">
      <c r="A1" s="10" t="s">
        <v>17</v>
      </c>
    </row>
    <row r="2" ht="12.75">
      <c r="A2" t="s">
        <v>9</v>
      </c>
    </row>
    <row r="3" ht="12.75">
      <c r="A3" t="s">
        <v>18</v>
      </c>
    </row>
    <row r="4" spans="1:8" ht="12.75">
      <c r="A4" s="8" t="s">
        <v>19</v>
      </c>
      <c r="B4" s="8"/>
      <c r="C4" s="8" t="s">
        <v>20</v>
      </c>
      <c r="D4" s="8" t="s">
        <v>21</v>
      </c>
      <c r="E4" s="42" t="s">
        <v>42</v>
      </c>
      <c r="F4" s="42" t="s">
        <v>43</v>
      </c>
      <c r="H4" s="11" t="s">
        <v>3</v>
      </c>
    </row>
    <row r="5" spans="1:8" ht="12.75">
      <c r="A5" s="1"/>
      <c r="B5" s="1"/>
      <c r="C5" s="12" t="s">
        <v>0</v>
      </c>
      <c r="D5" s="12" t="s">
        <v>0</v>
      </c>
      <c r="E5" s="8" t="s">
        <v>5</v>
      </c>
      <c r="F5" s="43" t="s">
        <v>1</v>
      </c>
      <c r="G5" s="13" t="s">
        <v>1</v>
      </c>
      <c r="H5" s="11" t="s">
        <v>1</v>
      </c>
    </row>
    <row r="6" spans="1:9" ht="12.75">
      <c r="A6" s="8" t="s">
        <v>22</v>
      </c>
      <c r="B6" s="8">
        <v>1</v>
      </c>
      <c r="C6" s="2">
        <v>1</v>
      </c>
      <c r="D6" s="14">
        <v>1000</v>
      </c>
      <c r="E6" s="44">
        <v>2.543</v>
      </c>
      <c r="F6" s="45">
        <v>6</v>
      </c>
      <c r="G6" s="26">
        <f>NNE_SWT!$B$6*E6/100+F6</f>
        <v>526280.7909100001</v>
      </c>
      <c r="H6" s="4">
        <f aca="true" t="shared" si="0" ref="H6:H11">IF(I6=1,G6,0)</f>
        <v>0</v>
      </c>
      <c r="I6">
        <f>IF(AND(NNE_SWT!B$6&gt;=C6,NNE_SWT!B$6&lt;=D6),1,0)</f>
        <v>0</v>
      </c>
    </row>
    <row r="7" spans="1:9" ht="12.75">
      <c r="A7" s="8" t="s">
        <v>22</v>
      </c>
      <c r="B7" s="8">
        <v>2</v>
      </c>
      <c r="C7" s="14">
        <v>1001</v>
      </c>
      <c r="D7" s="14">
        <v>4000</v>
      </c>
      <c r="E7" s="44">
        <v>1.943</v>
      </c>
      <c r="F7" s="45">
        <v>12</v>
      </c>
      <c r="G7" s="26">
        <f>NNE_SWT!$B$6*E7/100+F7</f>
        <v>402116.56891000003</v>
      </c>
      <c r="H7" s="4">
        <f t="shared" si="0"/>
        <v>0</v>
      </c>
      <c r="I7">
        <f>IF(AND(NNE_SWT!B$6&gt;=C7,NNE_SWT!B$6&lt;=D7),1,0)</f>
        <v>0</v>
      </c>
    </row>
    <row r="8" spans="1:9" ht="12.75">
      <c r="A8" s="8" t="s">
        <v>22</v>
      </c>
      <c r="B8" s="8">
        <v>3</v>
      </c>
      <c r="C8" s="14">
        <v>4001</v>
      </c>
      <c r="D8" s="14">
        <v>50000</v>
      </c>
      <c r="E8" s="44">
        <v>1.643</v>
      </c>
      <c r="F8" s="45">
        <v>24</v>
      </c>
      <c r="G8" s="26">
        <f>NNE_SWT!$B$6*E8/100+F8</f>
        <v>340043.45791</v>
      </c>
      <c r="H8" s="4">
        <f t="shared" si="0"/>
        <v>0</v>
      </c>
      <c r="I8">
        <f>IF(AND(NNE_SWT!B$6&gt;=C8,NNE_SWT!B$6&lt;=D8),1,0)</f>
        <v>0</v>
      </c>
    </row>
    <row r="9" spans="1:9" ht="12.75">
      <c r="A9" s="8" t="s">
        <v>22</v>
      </c>
      <c r="B9" s="8">
        <v>4</v>
      </c>
      <c r="C9" s="14">
        <v>50001</v>
      </c>
      <c r="D9" s="14">
        <v>150000</v>
      </c>
      <c r="E9" s="44">
        <v>1.451</v>
      </c>
      <c r="F9" s="45">
        <v>120</v>
      </c>
      <c r="G9" s="26">
        <f>NNE_SWT!$B$6*E9/100+F9</f>
        <v>300404.98687</v>
      </c>
      <c r="H9" s="4">
        <f t="shared" si="0"/>
        <v>0</v>
      </c>
      <c r="I9">
        <f>IF(AND(NNE_SWT!B$6&gt;=C9,NNE_SWT!B$6&lt;=D9),1,0)</f>
        <v>0</v>
      </c>
    </row>
    <row r="10" spans="1:9" ht="12.75">
      <c r="A10" s="8" t="s">
        <v>22</v>
      </c>
      <c r="B10" s="8">
        <v>5</v>
      </c>
      <c r="C10" s="14">
        <v>150001</v>
      </c>
      <c r="D10" s="14">
        <v>1500000</v>
      </c>
      <c r="E10" s="44">
        <v>1.411</v>
      </c>
      <c r="F10" s="45">
        <v>180</v>
      </c>
      <c r="G10" s="26">
        <f>NNE_SWT!$B$6*E10/100+F10</f>
        <v>292186.97207</v>
      </c>
      <c r="H10" s="4">
        <f t="shared" si="0"/>
        <v>0</v>
      </c>
      <c r="I10">
        <f>IF(AND(NNE_SWT!B$6&gt;=C10,NNE_SWT!B$6&lt;=D10),1,0)</f>
        <v>0</v>
      </c>
    </row>
    <row r="11" spans="1:9" ht="12.75">
      <c r="A11" s="15"/>
      <c r="B11" s="15"/>
      <c r="C11" s="16"/>
      <c r="D11" s="48" t="s">
        <v>48</v>
      </c>
      <c r="F11" s="17"/>
      <c r="G11" s="26">
        <f>NNE_SWT!$B$6*E10/100+F10</f>
        <v>292186.97207</v>
      </c>
      <c r="H11" s="4">
        <f t="shared" si="0"/>
        <v>292186.97207</v>
      </c>
      <c r="I11">
        <f>IF(NNE_SWT!B$6&gt;D10,1,0)</f>
        <v>1</v>
      </c>
    </row>
    <row r="12" spans="3:8" ht="13.5" thickBot="1">
      <c r="C12" s="7">
        <v>1500001</v>
      </c>
      <c r="G12" t="s">
        <v>2</v>
      </c>
      <c r="H12" s="18">
        <f>SUM(H6:H11)</f>
        <v>292186.97207</v>
      </c>
    </row>
    <row r="13" spans="7:9" ht="13.5" thickBot="1">
      <c r="G13" s="41" t="s">
        <v>46</v>
      </c>
      <c r="H13" s="19">
        <f>H12/NNE_SWT!B6*100</f>
        <v>1.411869773753002</v>
      </c>
      <c r="I13" t="s">
        <v>5</v>
      </c>
    </row>
    <row r="16" spans="3:7" ht="12.75">
      <c r="C16" s="20"/>
      <c r="D16" s="20"/>
      <c r="E16" s="21"/>
      <c r="F16" s="21"/>
      <c r="G16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37"/>
  <sheetViews>
    <sheetView zoomScalePageLayoutView="0" workbookViewId="0" topLeftCell="A1">
      <selection activeCell="E27" sqref="E27:E34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12.7109375" style="0" bestFit="1" customWidth="1"/>
    <col min="4" max="4" width="14.421875" style="0" bestFit="1" customWidth="1"/>
    <col min="5" max="5" width="11.57421875" style="0" bestFit="1" customWidth="1"/>
    <col min="6" max="6" width="18.57421875" style="0" customWidth="1"/>
    <col min="7" max="7" width="14.140625" style="0" customWidth="1"/>
    <col min="8" max="8" width="3.7109375" style="0" customWidth="1"/>
    <col min="9" max="9" width="4.00390625" style="0" customWidth="1"/>
  </cols>
  <sheetData>
    <row r="1" ht="12.75">
      <c r="A1" s="10" t="s">
        <v>23</v>
      </c>
    </row>
    <row r="2" ht="12.75">
      <c r="A2" t="s">
        <v>24</v>
      </c>
    </row>
    <row r="5" ht="12.75">
      <c r="A5" s="10" t="s">
        <v>7</v>
      </c>
    </row>
    <row r="6" spans="6:8" ht="11.25" customHeight="1">
      <c r="F6" s="22"/>
      <c r="H6" s="22"/>
    </row>
    <row r="7" spans="1:7" ht="12.75">
      <c r="A7" t="s">
        <v>19</v>
      </c>
      <c r="C7" s="8" t="s">
        <v>20</v>
      </c>
      <c r="D7" s="8" t="s">
        <v>21</v>
      </c>
      <c r="G7" s="11" t="s">
        <v>3</v>
      </c>
    </row>
    <row r="8" spans="3:7" ht="12.75">
      <c r="C8" s="32" t="s">
        <v>4</v>
      </c>
      <c r="D8" s="32" t="s">
        <v>4</v>
      </c>
      <c r="E8" s="8" t="s">
        <v>12</v>
      </c>
      <c r="F8" s="8" t="s">
        <v>1</v>
      </c>
      <c r="G8" s="31" t="s">
        <v>1</v>
      </c>
    </row>
    <row r="9" spans="1:9" ht="12.75">
      <c r="A9" s="8" t="s">
        <v>25</v>
      </c>
      <c r="B9" s="8">
        <v>1</v>
      </c>
      <c r="C9" s="14">
        <v>1</v>
      </c>
      <c r="D9" s="14">
        <v>801</v>
      </c>
      <c r="E9" s="46">
        <v>16.1</v>
      </c>
      <c r="F9" s="30">
        <f>D9*E9</f>
        <v>12896.1</v>
      </c>
      <c r="G9" s="6">
        <f>IF(I9=1,F9,IF(H9=1,(NNE_SWT!B$8)*E9,0))</f>
        <v>12896.1</v>
      </c>
      <c r="H9">
        <f>IF(AND(NNE_SWT!B$8&gt;=C9,NNE_SWT!B$8&lt;=D9),1,0)</f>
        <v>0</v>
      </c>
      <c r="I9">
        <f>IF(NNE_SWT!B$8&gt;=D9,1,0)</f>
        <v>1</v>
      </c>
    </row>
    <row r="10" spans="1:9" ht="12.75">
      <c r="A10" s="8" t="s">
        <v>25</v>
      </c>
      <c r="B10" s="8">
        <v>2</v>
      </c>
      <c r="C10" s="14">
        <f>D9+1</f>
        <v>802</v>
      </c>
      <c r="D10" s="14">
        <v>1857</v>
      </c>
      <c r="E10" s="46">
        <v>13.93</v>
      </c>
      <c r="F10" s="30">
        <f aca="true" t="shared" si="0" ref="F10:F16">(D10-D9)*E10</f>
        <v>14710.08</v>
      </c>
      <c r="G10" s="6">
        <f>IF(I10=1,F10,IF(H10=1,(NNE_SWT!B$8-D9)*E10,0))</f>
        <v>14710.08</v>
      </c>
      <c r="H10">
        <f>IF(AND(NNE_SWT!B$8&gt;=C10,NNE_SWT!B$8&lt;=D10),1,0)</f>
        <v>0</v>
      </c>
      <c r="I10">
        <f>IF(NNE_SWT!B$8&gt;=D10,1,0)</f>
        <v>1</v>
      </c>
    </row>
    <row r="11" spans="1:9" ht="12.75">
      <c r="A11" s="8" t="s">
        <v>25</v>
      </c>
      <c r="B11" s="8">
        <v>3</v>
      </c>
      <c r="C11" s="14">
        <f aca="true" t="shared" si="1" ref="C11:C16">D10+1</f>
        <v>1858</v>
      </c>
      <c r="D11" s="14">
        <v>3364</v>
      </c>
      <c r="E11" s="46">
        <v>12.58</v>
      </c>
      <c r="F11" s="30">
        <f t="shared" si="0"/>
        <v>18958.06</v>
      </c>
      <c r="G11" s="6">
        <f>IF(I11=1,F11,IF(H11=1,(NNE_SWT!B$8-D10)*E11,0))</f>
        <v>18958.06</v>
      </c>
      <c r="H11">
        <f>IF(AND(NNE_SWT!B$8&gt;=C11,NNE_SWT!B$8&lt;=D11),1,0)</f>
        <v>0</v>
      </c>
      <c r="I11">
        <f>IF(NNE_SWT!B$8&gt;=D11,1,0)</f>
        <v>1</v>
      </c>
    </row>
    <row r="12" spans="1:9" ht="12.75">
      <c r="A12" s="8" t="s">
        <v>25</v>
      </c>
      <c r="B12" s="8">
        <v>4</v>
      </c>
      <c r="C12" s="14">
        <f t="shared" si="1"/>
        <v>3365</v>
      </c>
      <c r="D12" s="14">
        <v>7059</v>
      </c>
      <c r="E12" s="46">
        <v>9.98</v>
      </c>
      <c r="F12" s="30">
        <f t="shared" si="0"/>
        <v>36876.1</v>
      </c>
      <c r="G12" s="6">
        <f>IF(I12=1,F12,IF(H12=1,(NNE_SWT!B$8-D11)*E12,0))</f>
        <v>36876.1</v>
      </c>
      <c r="H12">
        <f>IF(AND(NNE_SWT!B$8&gt;=C12,NNE_SWT!B$8&lt;=D12),1,0)</f>
        <v>0</v>
      </c>
      <c r="I12">
        <f>IF(NNE_SWT!B$8&gt;=D12,1,0)</f>
        <v>1</v>
      </c>
    </row>
    <row r="13" spans="1:9" ht="12.75">
      <c r="A13" s="8" t="s">
        <v>25</v>
      </c>
      <c r="B13" s="8">
        <v>5</v>
      </c>
      <c r="C13" s="14">
        <f t="shared" si="1"/>
        <v>7060</v>
      </c>
      <c r="D13" s="14">
        <v>10142</v>
      </c>
      <c r="E13" s="46">
        <v>9.01</v>
      </c>
      <c r="F13" s="30">
        <f t="shared" si="0"/>
        <v>27777.829999999998</v>
      </c>
      <c r="G13" s="6">
        <f>IF(I13=1,F13,IF(H13=1,(NNE_SWT!B$8-D12)*E13,0))</f>
        <v>27777.829999999998</v>
      </c>
      <c r="H13">
        <f>IF(AND(NNE_SWT!B$8&gt;=C13,NNE_SWT!B$8&lt;=D13),1,0)</f>
        <v>0</v>
      </c>
      <c r="I13">
        <f>IF(NNE_SWT!B$8&gt;=D13,1,0)</f>
        <v>1</v>
      </c>
    </row>
    <row r="14" spans="1:9" ht="12.75">
      <c r="A14" s="8" t="s">
        <v>25</v>
      </c>
      <c r="B14" s="8">
        <v>6</v>
      </c>
      <c r="C14" s="14">
        <f t="shared" si="1"/>
        <v>10143</v>
      </c>
      <c r="D14" s="14">
        <v>13073</v>
      </c>
      <c r="E14" s="46">
        <v>7.97</v>
      </c>
      <c r="F14" s="30">
        <f t="shared" si="0"/>
        <v>23360.07</v>
      </c>
      <c r="G14" s="6">
        <f>IF(I14=1,F14,IF(H14=1,(NNE_SWT!B$8-D13)*E14,0))</f>
        <v>23360.07</v>
      </c>
      <c r="H14">
        <f>IF(AND(NNE_SWT!B$8&gt;=C14,NNE_SWT!B$8&lt;=D14),1,0)</f>
        <v>0</v>
      </c>
      <c r="I14">
        <f>IF(NNE_SWT!B$8&gt;=D14,1,0)</f>
        <v>1</v>
      </c>
    </row>
    <row r="15" spans="1:9" ht="12.75">
      <c r="A15" s="8" t="s">
        <v>25</v>
      </c>
      <c r="B15" s="8">
        <v>7</v>
      </c>
      <c r="C15" s="14">
        <f t="shared" si="1"/>
        <v>13074</v>
      </c>
      <c r="D15" s="14">
        <v>29298</v>
      </c>
      <c r="E15" s="46">
        <v>7.04</v>
      </c>
      <c r="F15" s="30">
        <f t="shared" si="0"/>
        <v>114224</v>
      </c>
      <c r="G15" s="6">
        <f>IF(I15=1,F15,IF(H15=1,(NNE_SWT!B$8-D14)*E15,0))</f>
        <v>66696.96</v>
      </c>
      <c r="H15">
        <f>IF(AND(NNE_SWT!B$8&gt;=C15,NNE_SWT!B$8&lt;=D15),1,0)</f>
        <v>1</v>
      </c>
      <c r="I15">
        <f>IF(NNE_SWT!B$8&gt;=D15,1,0)</f>
        <v>0</v>
      </c>
    </row>
    <row r="16" spans="1:9" ht="12.75">
      <c r="A16" s="8" t="s">
        <v>25</v>
      </c>
      <c r="B16" s="8">
        <v>8</v>
      </c>
      <c r="C16" s="14">
        <f t="shared" si="1"/>
        <v>29299</v>
      </c>
      <c r="D16" s="14">
        <v>99999</v>
      </c>
      <c r="E16" s="46">
        <v>6.65</v>
      </c>
      <c r="F16" s="30">
        <f t="shared" si="0"/>
        <v>470161.65</v>
      </c>
      <c r="G16" s="6">
        <f>IF(I16=1,F16,IF(H16=1,(NNE_SWT!B$8-D15)*E16,0))</f>
        <v>0</v>
      </c>
      <c r="H16">
        <f>IF(AND(NNE_SWT!B$8&gt;=C16,NNE_SWT!B$8&lt;=D16),1,0)</f>
        <v>0</v>
      </c>
      <c r="I16">
        <f>IF(NNE_SWT!B$8&gt;=D16,1,0)</f>
        <v>0</v>
      </c>
    </row>
    <row r="17" spans="6:8" ht="13.5" thickBot="1">
      <c r="F17" t="s">
        <v>2</v>
      </c>
      <c r="G17" s="23">
        <f>SUM(G9:G16)</f>
        <v>201275.2</v>
      </c>
      <c r="H17" s="5"/>
    </row>
    <row r="18" spans="6:8" ht="13.5" thickBot="1">
      <c r="F18" s="41" t="s">
        <v>47</v>
      </c>
      <c r="G18" s="24">
        <f>G17/NNE_SWT!B6*100</f>
        <v>0.9725771449454282</v>
      </c>
      <c r="H18" t="s">
        <v>5</v>
      </c>
    </row>
    <row r="19" ht="12.75">
      <c r="A19" s="10" t="s">
        <v>26</v>
      </c>
    </row>
    <row r="21" ht="12.75">
      <c r="A21" t="s">
        <v>9</v>
      </c>
    </row>
    <row r="24" spans="1:8" ht="12.75">
      <c r="A24" s="10" t="s">
        <v>18</v>
      </c>
      <c r="F24" s="22"/>
      <c r="H24" s="22"/>
    </row>
    <row r="25" spans="1:7" ht="12.75">
      <c r="A25" t="s">
        <v>19</v>
      </c>
      <c r="C25" s="8" t="s">
        <v>20</v>
      </c>
      <c r="D25" s="8" t="s">
        <v>21</v>
      </c>
      <c r="G25" s="11" t="s">
        <v>3</v>
      </c>
    </row>
    <row r="26" spans="3:7" ht="12.75">
      <c r="C26" s="32" t="s">
        <v>0</v>
      </c>
      <c r="D26" s="32" t="s">
        <v>0</v>
      </c>
      <c r="E26" s="8" t="s">
        <v>5</v>
      </c>
      <c r="F26" s="8" t="s">
        <v>1</v>
      </c>
      <c r="G26" s="31" t="s">
        <v>1</v>
      </c>
    </row>
    <row r="27" spans="1:9" ht="12.75">
      <c r="A27" s="8" t="s">
        <v>27</v>
      </c>
      <c r="B27" s="8">
        <v>1</v>
      </c>
      <c r="C27" s="2">
        <v>1</v>
      </c>
      <c r="D27" s="14">
        <v>1500000</v>
      </c>
      <c r="E27" s="47">
        <v>0.385</v>
      </c>
      <c r="F27" s="30">
        <f>D27*E27/100</f>
        <v>5775</v>
      </c>
      <c r="G27" s="6">
        <f>IF(I27=1,F27,IF(H27=1,(NNE_SWT!B$6)/100*E27,0))</f>
        <v>5775</v>
      </c>
      <c r="H27">
        <f>IF(AND(NNE_SWT!B$6&gt;=C27,NNE_SWT!B$6&lt;=D27),1,0)</f>
        <v>0</v>
      </c>
      <c r="I27">
        <f>IF(NNE_SWT!B$6&gt;=D27,1,0)</f>
        <v>1</v>
      </c>
    </row>
    <row r="28" spans="1:9" ht="12.75">
      <c r="A28" s="8" t="s">
        <v>27</v>
      </c>
      <c r="B28" s="8">
        <v>2</v>
      </c>
      <c r="C28" s="14">
        <f>D27+1</f>
        <v>1500001</v>
      </c>
      <c r="D28" s="14">
        <v>4000000</v>
      </c>
      <c r="E28" s="47">
        <v>0.338</v>
      </c>
      <c r="F28" s="30">
        <f aca="true" t="shared" si="2" ref="F28:F34">(D28-D27)*E28/100</f>
        <v>8450</v>
      </c>
      <c r="G28" s="6">
        <f>IF(I28=1,F28,IF(H28=1,(NNE_SWT!B$6-D27)/100*E28,0))</f>
        <v>8450</v>
      </c>
      <c r="H28">
        <f>IF(AND(NNE_SWT!B$6&gt;=C28,NNE_SWT!B$6&lt;=D28),1,0)</f>
        <v>0</v>
      </c>
      <c r="I28">
        <f>IF(NNE_SWT!B$6&gt;=D28,1,0)</f>
        <v>1</v>
      </c>
    </row>
    <row r="29" spans="1:9" ht="12.75">
      <c r="A29" s="8" t="s">
        <v>27</v>
      </c>
      <c r="B29" s="8">
        <v>3</v>
      </c>
      <c r="C29" s="14">
        <f aca="true" t="shared" si="3" ref="C29:C34">D28+1</f>
        <v>4000001</v>
      </c>
      <c r="D29" s="14">
        <v>8000000</v>
      </c>
      <c r="E29" s="47">
        <v>0.281</v>
      </c>
      <c r="F29" s="30">
        <f t="shared" si="2"/>
        <v>11240</v>
      </c>
      <c r="G29" s="6">
        <f>IF(I29=1,F29,IF(H29=1,(NNE_SWT!B$6-D28)/100*E29,0))</f>
        <v>11240</v>
      </c>
      <c r="H29">
        <f>IF(AND(NNE_SWT!B$6&gt;=C29,NNE_SWT!B$6&lt;=D29),1,0)</f>
        <v>0</v>
      </c>
      <c r="I29">
        <f>IF(NNE_SWT!B$6&gt;=D29,1,0)</f>
        <v>1</v>
      </c>
    </row>
    <row r="30" spans="1:9" ht="12.75">
      <c r="A30" s="8" t="s">
        <v>27</v>
      </c>
      <c r="B30" s="8">
        <v>4</v>
      </c>
      <c r="C30" s="14">
        <f t="shared" si="3"/>
        <v>8000001</v>
      </c>
      <c r="D30" s="14">
        <v>19000000</v>
      </c>
      <c r="E30" s="47">
        <v>0.221</v>
      </c>
      <c r="F30" s="30">
        <f t="shared" si="2"/>
        <v>24310</v>
      </c>
      <c r="G30" s="6">
        <f>IF(I30=1,F30,IF(H30=1,(NNE_SWT!B$6-D29)/100*E30,0))</f>
        <v>24310</v>
      </c>
      <c r="H30">
        <f>IF(AND(NNE_SWT!B$6&gt;=C30,NNE_SWT!B$6&lt;=D30),1,0)</f>
        <v>0</v>
      </c>
      <c r="I30">
        <f>IF(NNE_SWT!B$6&gt;=D30,1,0)</f>
        <v>1</v>
      </c>
    </row>
    <row r="31" spans="1:9" ht="12.75">
      <c r="A31" s="8" t="s">
        <v>27</v>
      </c>
      <c r="B31" s="8">
        <v>5</v>
      </c>
      <c r="C31" s="14">
        <f t="shared" si="3"/>
        <v>19000001</v>
      </c>
      <c r="D31" s="14">
        <v>29000000</v>
      </c>
      <c r="E31" s="47">
        <v>0.176</v>
      </c>
      <c r="F31" s="30">
        <f t="shared" si="2"/>
        <v>17600</v>
      </c>
      <c r="G31" s="6">
        <f>IF(I31=1,F31,IF(H31=1,(NNE_SWT!B$6-D30)/100*E31,0))</f>
        <v>2983.2651199999996</v>
      </c>
      <c r="H31">
        <f>IF(AND(NNE_SWT!B$6&gt;=C31,NNE_SWT!B$6&lt;=D31),1,0)</f>
        <v>1</v>
      </c>
      <c r="I31">
        <f>IF(NNE_SWT!B$6&gt;=D31,1,0)</f>
        <v>0</v>
      </c>
    </row>
    <row r="32" spans="1:9" ht="12.75">
      <c r="A32" s="8" t="s">
        <v>27</v>
      </c>
      <c r="B32" s="8">
        <v>6</v>
      </c>
      <c r="C32" s="14">
        <f t="shared" si="3"/>
        <v>29000001</v>
      </c>
      <c r="D32" s="14">
        <v>39000000</v>
      </c>
      <c r="E32" s="47">
        <v>0.166</v>
      </c>
      <c r="F32" s="30">
        <f t="shared" si="2"/>
        <v>16600</v>
      </c>
      <c r="G32" s="6">
        <f>IF(I32=1,F32,IF(H32=1,(NNE_SWT!B$6-D31)/100*E32,0))</f>
        <v>0</v>
      </c>
      <c r="H32">
        <f>IF(AND(NNE_SWT!B$6&gt;=C32,NNE_SWT!B$6&lt;=D32),1,0)</f>
        <v>0</v>
      </c>
      <c r="I32">
        <f>IF(NNE_SWT!B$6&gt;=D32,1,0)</f>
        <v>0</v>
      </c>
    </row>
    <row r="33" spans="1:9" ht="12.75">
      <c r="A33" s="8" t="s">
        <v>27</v>
      </c>
      <c r="B33" s="8">
        <v>7</v>
      </c>
      <c r="C33" s="14">
        <f t="shared" si="3"/>
        <v>39000001</v>
      </c>
      <c r="D33" s="14">
        <v>100000000</v>
      </c>
      <c r="E33" s="47">
        <v>0.147</v>
      </c>
      <c r="F33" s="30">
        <f t="shared" si="2"/>
        <v>89670</v>
      </c>
      <c r="G33" s="6">
        <f>IF(I33=1,F33,IF(H33=1,(NNE_SWT!B$6-D32)/100*E33,0))</f>
        <v>0</v>
      </c>
      <c r="H33">
        <f>IF(AND(NNE_SWT!B$6&gt;=C33,NNE_SWT!B$6&lt;=D33),1,0)</f>
        <v>0</v>
      </c>
      <c r="I33">
        <f>IF(NNE_SWT!B$6&gt;=D33,1,0)</f>
        <v>0</v>
      </c>
    </row>
    <row r="34" spans="1:9" ht="12.75">
      <c r="A34" s="8" t="s">
        <v>27</v>
      </c>
      <c r="B34" s="8">
        <v>8</v>
      </c>
      <c r="C34" s="14">
        <f t="shared" si="3"/>
        <v>100000001</v>
      </c>
      <c r="D34" s="14">
        <v>1000000000</v>
      </c>
      <c r="E34" s="47">
        <v>0.144</v>
      </c>
      <c r="F34" s="30">
        <f t="shared" si="2"/>
        <v>1295999.9999999998</v>
      </c>
      <c r="G34" s="6">
        <f>IF(I34=1,F34,IF(H34=1,(NNE_SWT!B$6-D33)/100*E34,0))</f>
        <v>0</v>
      </c>
      <c r="H34">
        <f>IF(AND(NNE_SWT!B$6&gt;=C34,NNE_SWT!B$6&lt;=D34),1,0)</f>
        <v>0</v>
      </c>
      <c r="I34">
        <f>IF(NNE_SWT!B$6&gt;=D34,1,0)</f>
        <v>0</v>
      </c>
    </row>
    <row r="35" spans="6:7" ht="13.5" thickBot="1">
      <c r="F35" t="s">
        <v>2</v>
      </c>
      <c r="G35" s="23">
        <f>SUM(G27:G34)</f>
        <v>52758.26512</v>
      </c>
    </row>
    <row r="36" spans="4:9" ht="13.5" thickBot="1">
      <c r="D36" s="10"/>
      <c r="E36" s="10"/>
      <c r="F36" s="41" t="s">
        <v>46</v>
      </c>
      <c r="G36" s="24">
        <f>G35/NNE_SWT!B6*100</f>
        <v>0.2549319680849085</v>
      </c>
      <c r="H36" t="s">
        <v>5</v>
      </c>
      <c r="I36" s="10"/>
    </row>
    <row r="37" spans="4:9" ht="12.75">
      <c r="D37" s="10"/>
      <c r="E37" s="10"/>
      <c r="F37" s="25"/>
      <c r="G37" s="10"/>
      <c r="H37" s="25"/>
      <c r="I3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Tübingen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thomash</dc:creator>
  <cp:keywords/>
  <dc:description/>
  <cp:lastModifiedBy>Koeder, Markus, SWT NR</cp:lastModifiedBy>
  <cp:lastPrinted>2007-07-24T12:41:13Z</cp:lastPrinted>
  <dcterms:created xsi:type="dcterms:W3CDTF">2007-06-25T09:03:42Z</dcterms:created>
  <dcterms:modified xsi:type="dcterms:W3CDTF">2021-10-15T08:19:38Z</dcterms:modified>
  <cp:category/>
  <cp:version/>
  <cp:contentType/>
  <cp:contentStatus/>
</cp:coreProperties>
</file>